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35" windowWidth="15480" windowHeight="1164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<sst xmlns="http://schemas.openxmlformats.org/spreadsheetml/2006/main" count="126" uniqueCount="61">
  <si>
    <t>Absatzmenge</t>
  </si>
  <si>
    <t>gut</t>
  </si>
  <si>
    <t xml:space="preserve">mittel </t>
  </si>
  <si>
    <t>schlecht</t>
  </si>
  <si>
    <t>Umsatz</t>
  </si>
  <si>
    <t>Anschaffungsauszahlung:</t>
  </si>
  <si>
    <t>Kalkulationszinssatz:</t>
  </si>
  <si>
    <t>betriebl. Ausz.</t>
  </si>
  <si>
    <t>FCF</t>
  </si>
  <si>
    <t>*umfasst sämtliche auszahlungswirksamen Kosten.</t>
  </si>
  <si>
    <t>Abschr.</t>
  </si>
  <si>
    <t>direkt</t>
  </si>
  <si>
    <t>indirekt</t>
  </si>
  <si>
    <t>EBIT</t>
  </si>
  <si>
    <t>Marktportfolio</t>
  </si>
  <si>
    <r>
      <t>COV(FCF,R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>)</t>
    </r>
  </si>
  <si>
    <r>
      <t>Var(R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>)</t>
    </r>
  </si>
  <si>
    <t>risikoloser Zinssatz:</t>
  </si>
  <si>
    <t>Barwert:</t>
  </si>
  <si>
    <t>Investition</t>
  </si>
  <si>
    <r>
      <t>COV(R,R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>)</t>
    </r>
  </si>
  <si>
    <t>Kapitalwert:</t>
  </si>
  <si>
    <t>Fixkosten</t>
  </si>
  <si>
    <t>NCF</t>
  </si>
  <si>
    <t>Beta U:</t>
  </si>
  <si>
    <t>Beta V:</t>
  </si>
  <si>
    <t>Renditen</t>
  </si>
  <si>
    <r>
      <t>V</t>
    </r>
    <r>
      <rPr>
        <vertAlign val="superscript"/>
        <sz val="10"/>
        <rFont val="Arial"/>
        <family val="2"/>
      </rPr>
      <t>MW</t>
    </r>
  </si>
  <si>
    <t>Eintrittswahr-
scheinlichkeit</t>
  </si>
  <si>
    <r>
      <t>risikoloser Zinssatz r</t>
    </r>
    <r>
      <rPr>
        <vertAlign val="subscript"/>
        <sz val="10"/>
        <rFont val="Arial"/>
        <family val="2"/>
      </rPr>
      <t>f</t>
    </r>
    <r>
      <rPr>
        <sz val="10"/>
        <rFont val="Arial"/>
        <family val="0"/>
      </rPr>
      <t>:</t>
    </r>
  </si>
  <si>
    <t>Investition 1 (ohne Fixkosten, reine Eigenfinanzierung)</t>
  </si>
  <si>
    <t>E(FCF)</t>
  </si>
  <si>
    <r>
      <t>E(R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>)</t>
    </r>
  </si>
  <si>
    <r>
      <t>Cov(R,R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>)</t>
    </r>
  </si>
  <si>
    <r>
      <t>Cov(FCF,R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>)</t>
    </r>
  </si>
  <si>
    <t>Beta Investition 1:</t>
  </si>
  <si>
    <t>Operating Leverage</t>
  </si>
  <si>
    <t>Zustand
s</t>
  </si>
  <si>
    <t>Absatzmenge
x</t>
  </si>
  <si>
    <t>Absatzpreis
p</t>
  </si>
  <si>
    <r>
      <t>variable Kosten 
k</t>
    </r>
    <r>
      <rPr>
        <vertAlign val="subscript"/>
        <sz val="10"/>
        <rFont val="Arial"/>
        <family val="2"/>
      </rPr>
      <t>v</t>
    </r>
  </si>
  <si>
    <t>Umsatz
U</t>
  </si>
  <si>
    <t>Einzahl-
ungen</t>
  </si>
  <si>
    <t>Auszahl-
ungen</t>
  </si>
  <si>
    <t>Free Cash Flows für variierende Absatzmengen</t>
  </si>
  <si>
    <t>Investition 2 (mit Fixkosten, reine Eigenfinanzierung)</t>
  </si>
  <si>
    <r>
      <t>variable Kosten 
k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>*</t>
    </r>
  </si>
  <si>
    <t>Beta Investition 2:</t>
  </si>
  <si>
    <t>Investition 2 (mit Fixkosten, teilweise Fremdfinanzierung)</t>
  </si>
  <si>
    <t xml:space="preserve">gut </t>
  </si>
  <si>
    <t>Zinsauf-
wand</t>
  </si>
  <si>
    <t>davon Fremdkapital:</t>
  </si>
  <si>
    <r>
      <t>Var(R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</si>
  <si>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r>
      <t>E(R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</si>
  <si>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r>
      <t>E(R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</si>
  <si>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Var(R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</si>
  <si>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R</t>
    </r>
    <r>
      <rPr>
        <vertAlign val="superscript"/>
        <sz val="10"/>
        <rFont val="Arial"/>
        <family val="2"/>
      </rPr>
      <t>FCF</t>
    </r>
  </si>
  <si>
    <r>
      <t>R</t>
    </r>
    <r>
      <rPr>
        <vertAlign val="superscript"/>
        <sz val="10"/>
        <rFont val="Arial"/>
        <family val="2"/>
      </rPr>
      <t>NCF</t>
    </r>
  </si>
  <si>
    <t>Financial Leverage</t>
  </si>
  <si>
    <t>Total Leverage</t>
  </si>
  <si>
    <t>FK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</si>
</sst>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0000"/>
    <numFmt numFmtId="167" formatCode="0.000000"/>
    <numFmt numFmtId="168" formatCode="0.0000000"/>
    <numFmt numFmtId="169" formatCode="0.00000000"/>
    <numFmt numFmtId="170" formatCode="0.0%"/>
    <numFmt numFmtId="171" formatCode="#,##0.0"/>
    <numFmt numFmtId="172" formatCode="0.000%"/>
    <numFmt numFmtId="173" formatCode="0.0000%"/>
    <numFmt numFmtId="174" formatCode="#,##0.0000"/>
    <numFmt numFmtId="175" formatCode="#,##0.000"/>
    <numFmt numFmtId="176" formatCode="0.0000000000"/>
    <numFmt numFmtId="177" formatCode="0.000000000"/>
  </numFmts>
  <fonts count="11">
    <font>
      <sz val="10"/>
      <name val="Arial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b/>
      <sz val="9.5"/>
      <name val="Arial"/>
      <family val="0"/>
    </font>
    <font>
      <b/>
      <sz val="8.25"/>
      <name val="Arial"/>
      <family val="0"/>
    </font>
    <font>
      <sz val="8.25"/>
      <name val="Arial"/>
      <family val="0"/>
    </font>
    <font>
      <vertAlign val="superscript"/>
      <sz val="10"/>
      <name val="Arial"/>
      <family val="2"/>
    </font>
    <font>
      <sz val="9"/>
      <name val="Arial"/>
      <family val="0"/>
    </font>
    <font>
      <sz val="10"/>
      <name val="Symbol"/>
      <family val="1"/>
    </font>
    <font>
      <b/>
      <sz val="10"/>
      <name val="Arial"/>
      <family val="2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12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9" fontId="0" fillId="0" borderId="0" xfId="17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right"/>
    </xf>
    <xf numFmtId="9" fontId="0" fillId="0" borderId="0" xfId="17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0" fontId="0" fillId="0" borderId="0" xfId="0" applyAlignment="1">
      <alignment horizontal="right"/>
    </xf>
    <xf numFmtId="3" fontId="0" fillId="0" borderId="2" xfId="0" applyNumberFormat="1" applyBorder="1" applyAlignment="1">
      <alignment/>
    </xf>
    <xf numFmtId="3" fontId="0" fillId="0" borderId="1" xfId="0" applyNumberFormat="1" applyBorder="1" applyAlignment="1">
      <alignment/>
    </xf>
    <xf numFmtId="10" fontId="0" fillId="0" borderId="2" xfId="17" applyNumberFormat="1" applyBorder="1" applyAlignment="1">
      <alignment/>
    </xf>
    <xf numFmtId="10" fontId="0" fillId="0" borderId="1" xfId="17" applyNumberFormat="1" applyBorder="1" applyAlignment="1">
      <alignment/>
    </xf>
    <xf numFmtId="10" fontId="0" fillId="0" borderId="3" xfId="17" applyNumberFormat="1" applyBorder="1" applyAlignment="1">
      <alignment/>
    </xf>
    <xf numFmtId="10" fontId="0" fillId="0" borderId="4" xfId="17" applyNumberFormat="1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10" fontId="0" fillId="0" borderId="2" xfId="17" applyNumberFormat="1" applyFill="1" applyBorder="1" applyAlignment="1">
      <alignment/>
    </xf>
    <xf numFmtId="10" fontId="0" fillId="0" borderId="1" xfId="17" applyNumberFormat="1" applyFill="1" applyBorder="1" applyAlignment="1">
      <alignment/>
    </xf>
    <xf numFmtId="10" fontId="0" fillId="0" borderId="3" xfId="17" applyNumberFormat="1" applyFill="1" applyBorder="1" applyAlignment="1">
      <alignment/>
    </xf>
    <xf numFmtId="10" fontId="0" fillId="0" borderId="4" xfId="17" applyNumberFormat="1" applyFill="1" applyBorder="1" applyAlignment="1">
      <alignment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0" borderId="0" xfId="0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1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" fontId="0" fillId="0" borderId="2" xfId="0" applyNumberFormat="1" applyBorder="1" applyAlignment="1">
      <alignment/>
    </xf>
    <xf numFmtId="4" fontId="0" fillId="0" borderId="1" xfId="0" applyNumberFormat="1" applyBorder="1" applyAlignment="1">
      <alignment/>
    </xf>
    <xf numFmtId="4" fontId="0" fillId="0" borderId="3" xfId="0" applyNumberFormat="1" applyBorder="1" applyAlignment="1">
      <alignment/>
    </xf>
    <xf numFmtId="4" fontId="0" fillId="0" borderId="4" xfId="0" applyNumberFormat="1" applyBorder="1" applyAlignment="1">
      <alignment/>
    </xf>
    <xf numFmtId="10" fontId="0" fillId="0" borderId="0" xfId="17" applyNumberForma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0" fillId="0" borderId="0" xfId="0" applyAlignment="1">
      <alignment horizontal="left"/>
    </xf>
    <xf numFmtId="10" fontId="0" fillId="0" borderId="0" xfId="17" applyNumberFormat="1" applyBorder="1" applyAlignment="1">
      <alignment/>
    </xf>
    <xf numFmtId="0" fontId="0" fillId="0" borderId="1" xfId="0" applyBorder="1" applyAlignment="1">
      <alignment horizontal="center"/>
    </xf>
    <xf numFmtId="10" fontId="0" fillId="0" borderId="6" xfId="17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0" fontId="0" fillId="0" borderId="0" xfId="17" applyNumberFormat="1" applyAlignment="1">
      <alignment horizontal="center"/>
    </xf>
    <xf numFmtId="0" fontId="9" fillId="2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Break even-Analyse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17425"/>
          <c:w val="0.71075"/>
          <c:h val="0.7175"/>
        </c:manualLayout>
      </c:layout>
      <c:scatterChart>
        <c:scatterStyle val="smoothMarker"/>
        <c:varyColors val="0"/>
        <c:ser>
          <c:idx val="0"/>
          <c:order val="0"/>
          <c:tx>
            <c:v>Investition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Tabelle1!$C$39:$C$47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Tabelle1!$F$39:$F$47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Investition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Tabelle1!$C$85:$C$93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Tabelle1!$F$85:$F$93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axId val="28907342"/>
        <c:axId val="58839487"/>
      </c:scatterChart>
      <c:valAx>
        <c:axId val="28907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Umsatz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839487"/>
        <c:crosses val="autoZero"/>
        <c:crossBetween val="midCat"/>
        <c:dispUnits/>
      </c:valAx>
      <c:valAx>
        <c:axId val="58839487"/>
        <c:scaling>
          <c:orientation val="minMax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FCF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90734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Cash Flow-Profil Investition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09925"/>
          <c:w val="0.74875"/>
          <c:h val="0.80475"/>
        </c:manualLayout>
      </c:layout>
      <c:scatterChart>
        <c:scatterStyle val="smoothMarker"/>
        <c:varyColors val="0"/>
        <c:ser>
          <c:idx val="0"/>
          <c:order val="0"/>
          <c:tx>
            <c:v>Investition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Tabelle1!$C$39:$C$47</c:f>
              <c:numCache/>
            </c:numRef>
          </c:xVal>
          <c:yVal>
            <c:numRef>
              <c:f>Tabelle1!$F$39:$F$47</c:f>
              <c:numCache/>
            </c:numRef>
          </c:yVal>
          <c:smooth val="1"/>
        </c:ser>
        <c:axId val="59793336"/>
        <c:axId val="1269113"/>
      </c:scatterChart>
      <c:valAx>
        <c:axId val="597933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Umsatz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69113"/>
        <c:crosses val="autoZero"/>
        <c:crossBetween val="midCat"/>
        <c:dispUnits/>
      </c:valAx>
      <c:valAx>
        <c:axId val="12691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FCF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79333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6"/>
          <c:y val="0.46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Leverage-Horn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06125"/>
          <c:w val="0.805"/>
          <c:h val="0.8625"/>
        </c:manualLayout>
      </c:layout>
      <c:scatterChart>
        <c:scatterStyle val="smoothMarker"/>
        <c:varyColors val="0"/>
        <c:ser>
          <c:idx val="0"/>
          <c:order val="0"/>
          <c:tx>
            <c:v>s =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Tabelle1!$I$133:$I$153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Tabelle1!$K$133:$K$153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s =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Tabelle1!$I$133:$I$153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Tabelle1!$M$133:$M$153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axId val="11422018"/>
        <c:axId val="35689299"/>
      </c:scatterChart>
      <c:valAx>
        <c:axId val="11422018"/>
        <c:scaling>
          <c:orientation val="minMax"/>
          <c:max val="1.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Verschuldungsgrad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689299"/>
        <c:crosses val="autoZero"/>
        <c:crossBetween val="midCat"/>
        <c:dispUnits/>
      </c:valAx>
      <c:valAx>
        <c:axId val="356892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Rendite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42201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0.80325</cdr:x>
      <cdr:y>0.1665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4314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© Boris Nöll (2008). Quelle: Nöll / Wiedemann (2008): Investitionen unter Unsicherheit - Rendite-/Risikoanalyse von Investitionen im Kontext einer wertorientierten Unternehmensführung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0.80325</cdr:x>
      <cdr:y>0.1665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4314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© Boris Nöll (2008). Quelle: Nöll / Wiedemann (2008): Investitionen unter Unsicherheit - Rendite-/Risikoanalyse von Investitionen im Kontext einer wertorientierten Unternehmensführung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76</xdr:row>
      <xdr:rowOff>0</xdr:rowOff>
    </xdr:from>
    <xdr:to>
      <xdr:col>13</xdr:col>
      <xdr:colOff>180975</xdr:colOff>
      <xdr:row>93</xdr:row>
      <xdr:rowOff>47625</xdr:rowOff>
    </xdr:to>
    <xdr:graphicFrame>
      <xdr:nvGraphicFramePr>
        <xdr:cNvPr id="1" name="Chart 2"/>
        <xdr:cNvGraphicFramePr/>
      </xdr:nvGraphicFramePr>
      <xdr:xfrm>
        <a:off x="5648325" y="12725400"/>
        <a:ext cx="485775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27</xdr:row>
      <xdr:rowOff>142875</xdr:rowOff>
    </xdr:from>
    <xdr:to>
      <xdr:col>13</xdr:col>
      <xdr:colOff>219075</xdr:colOff>
      <xdr:row>47</xdr:row>
      <xdr:rowOff>57150</xdr:rowOff>
    </xdr:to>
    <xdr:graphicFrame>
      <xdr:nvGraphicFramePr>
        <xdr:cNvPr id="2" name="Chart 5"/>
        <xdr:cNvGraphicFramePr/>
      </xdr:nvGraphicFramePr>
      <xdr:xfrm>
        <a:off x="5648325" y="4762500"/>
        <a:ext cx="4895850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161925</xdr:colOff>
      <xdr:row>131</xdr:row>
      <xdr:rowOff>28575</xdr:rowOff>
    </xdr:from>
    <xdr:to>
      <xdr:col>7</xdr:col>
      <xdr:colOff>647700</xdr:colOff>
      <xdr:row>150</xdr:row>
      <xdr:rowOff>9525</xdr:rowOff>
    </xdr:to>
    <xdr:graphicFrame>
      <xdr:nvGraphicFramePr>
        <xdr:cNvPr id="3" name="Chart 10"/>
        <xdr:cNvGraphicFramePr/>
      </xdr:nvGraphicFramePr>
      <xdr:xfrm>
        <a:off x="923925" y="21850350"/>
        <a:ext cx="5372100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3</xdr:row>
      <xdr:rowOff>76200</xdr:rowOff>
    </xdr:from>
    <xdr:to>
      <xdr:col>10</xdr:col>
      <xdr:colOff>142875</xdr:colOff>
      <xdr:row>6</xdr:row>
      <xdr:rowOff>76200</xdr:rowOff>
    </xdr:to>
    <xdr:sp>
      <xdr:nvSpPr>
        <xdr:cNvPr id="4" name="TextBox 224"/>
        <xdr:cNvSpPr txBox="1">
          <a:spLocks noChangeArrowheads="1"/>
        </xdr:cNvSpPr>
      </xdr:nvSpPr>
      <xdr:spPr>
        <a:xfrm>
          <a:off x="3933825" y="581025"/>
          <a:ext cx="424815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© Boris Nöll (2008). Quelle: Nöll / Wiedemann (2008): Investitionen unter Unsicherheit - Rendite-/Risikoanalysen von Investitionen im Kontext einer wertorientierten Unternehmensführung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3:S153"/>
  <sheetViews>
    <sheetView tabSelected="1" workbookViewId="0" topLeftCell="A1">
      <selection activeCell="A1" sqref="A1"/>
    </sheetView>
  </sheetViews>
  <sheetFormatPr defaultColWidth="11.421875" defaultRowHeight="12.75"/>
  <cols>
    <col min="2" max="2" width="12.57421875" style="0" customWidth="1"/>
    <col min="3" max="3" width="12.140625" style="0" customWidth="1"/>
    <col min="6" max="6" width="13.28125" style="0" customWidth="1"/>
    <col min="7" max="7" width="12.421875" style="0" bestFit="1" customWidth="1"/>
    <col min="8" max="8" width="13.00390625" style="0" bestFit="1" customWidth="1"/>
    <col min="15" max="15" width="12.421875" style="0" bestFit="1" customWidth="1"/>
  </cols>
  <sheetData>
    <row r="2" ht="13.5" thickBot="1"/>
    <row r="3" spans="1:10" ht="13.5" thickBot="1">
      <c r="A3" s="59" t="s">
        <v>30</v>
      </c>
      <c r="B3" s="60"/>
      <c r="C3" s="60"/>
      <c r="D3" s="60"/>
      <c r="E3" s="60"/>
      <c r="F3" s="60"/>
      <c r="G3" s="60"/>
      <c r="H3" s="60"/>
      <c r="I3" s="60"/>
      <c r="J3" s="61"/>
    </row>
    <row r="4" spans="1:4" ht="12.75">
      <c r="A4" t="s">
        <v>5</v>
      </c>
      <c r="D4" s="13">
        <v>1500</v>
      </c>
    </row>
    <row r="5" spans="1:4" ht="12.75">
      <c r="A5" t="s">
        <v>6</v>
      </c>
      <c r="D5" s="6">
        <v>0.1</v>
      </c>
    </row>
    <row r="6" spans="1:4" ht="15.75">
      <c r="A6" t="s">
        <v>29</v>
      </c>
      <c r="D6" s="12">
        <v>0.04</v>
      </c>
    </row>
    <row r="8" spans="1:10" ht="15.75" customHeight="1">
      <c r="A8" s="57" t="s">
        <v>37</v>
      </c>
      <c r="B8" s="62" t="s">
        <v>28</v>
      </c>
      <c r="C8" s="57" t="s">
        <v>38</v>
      </c>
      <c r="D8" s="57" t="s">
        <v>39</v>
      </c>
      <c r="E8" s="57" t="s">
        <v>46</v>
      </c>
      <c r="F8" s="64" t="s">
        <v>10</v>
      </c>
      <c r="G8" s="57" t="s">
        <v>41</v>
      </c>
      <c r="H8" s="70" t="s">
        <v>7</v>
      </c>
      <c r="I8" s="70" t="s">
        <v>13</v>
      </c>
      <c r="J8" s="40"/>
    </row>
    <row r="9" spans="1:19" ht="13.5" thickBot="1">
      <c r="A9" s="58"/>
      <c r="B9" s="63"/>
      <c r="C9" s="58"/>
      <c r="D9" s="58"/>
      <c r="E9" s="58"/>
      <c r="F9" s="65"/>
      <c r="G9" s="58"/>
      <c r="H9" s="63"/>
      <c r="I9" s="63"/>
      <c r="J9" s="41"/>
      <c r="P9" s="30"/>
      <c r="Q9" s="30"/>
      <c r="R9" s="30"/>
      <c r="S9" s="30"/>
    </row>
    <row r="10" spans="1:10" ht="12.75">
      <c r="A10" t="s">
        <v>1</v>
      </c>
      <c r="B10" s="2">
        <f>1/3</f>
        <v>0.3333333333333333</v>
      </c>
      <c r="C10" s="13">
        <v>1500</v>
      </c>
      <c r="D10">
        <v>15</v>
      </c>
      <c r="E10">
        <v>9.5</v>
      </c>
      <c r="F10" s="13">
        <v>3900</v>
      </c>
      <c r="G10" s="13">
        <f>D10*C10</f>
        <v>22500</v>
      </c>
      <c r="H10" s="13">
        <f>E10*C10</f>
        <v>14250</v>
      </c>
      <c r="I10" s="13">
        <f>G10-H10-F10</f>
        <v>4350</v>
      </c>
      <c r="J10" s="39"/>
    </row>
    <row r="11" spans="1:10" ht="12.75">
      <c r="A11" t="s">
        <v>2</v>
      </c>
      <c r="B11" s="2">
        <f>1/3</f>
        <v>0.3333333333333333</v>
      </c>
      <c r="C11" s="13">
        <v>1200</v>
      </c>
      <c r="D11">
        <v>15</v>
      </c>
      <c r="E11">
        <v>9.5</v>
      </c>
      <c r="F11" s="13">
        <v>3900</v>
      </c>
      <c r="G11" s="13">
        <f>D11*C11</f>
        <v>18000</v>
      </c>
      <c r="H11" s="13">
        <f>E11*C11</f>
        <v>11400</v>
      </c>
      <c r="I11" s="13">
        <f>G11-H11-F11</f>
        <v>2700</v>
      </c>
      <c r="J11" s="39"/>
    </row>
    <row r="12" spans="1:10" ht="12.75">
      <c r="A12" t="s">
        <v>3</v>
      </c>
      <c r="B12" s="2">
        <f>1/3</f>
        <v>0.3333333333333333</v>
      </c>
      <c r="C12" s="13">
        <v>950</v>
      </c>
      <c r="D12">
        <v>15</v>
      </c>
      <c r="E12">
        <v>9.5</v>
      </c>
      <c r="F12" s="13">
        <v>3900</v>
      </c>
      <c r="G12" s="13">
        <f>D12*C12</f>
        <v>14250</v>
      </c>
      <c r="H12" s="13">
        <f>E12*C12</f>
        <v>9025</v>
      </c>
      <c r="I12" s="13">
        <f>G12-H12-F12</f>
        <v>1325</v>
      </c>
      <c r="J12" s="39"/>
    </row>
    <row r="13" ht="12.75">
      <c r="F13" s="13"/>
    </row>
    <row r="14" ht="12.75">
      <c r="A14" t="s">
        <v>9</v>
      </c>
    </row>
    <row r="16" ht="13.5" thickBot="1"/>
    <row r="17" spans="3:7" ht="12.75">
      <c r="C17" s="68" t="s">
        <v>8</v>
      </c>
      <c r="D17" s="69"/>
      <c r="F17" s="68" t="s">
        <v>26</v>
      </c>
      <c r="G17" s="69"/>
    </row>
    <row r="18" spans="3:7" ht="12.75">
      <c r="C18" s="33" t="s">
        <v>11</v>
      </c>
      <c r="D18" s="34" t="s">
        <v>12</v>
      </c>
      <c r="F18" s="35" t="s">
        <v>14</v>
      </c>
      <c r="G18" s="36" t="s">
        <v>19</v>
      </c>
    </row>
    <row r="19" spans="3:7" ht="12.75">
      <c r="C19" s="18">
        <f>G10-H10</f>
        <v>8250</v>
      </c>
      <c r="D19" s="19">
        <f>I10+F10</f>
        <v>8250</v>
      </c>
      <c r="F19" s="26">
        <v>0.32</v>
      </c>
      <c r="G19" s="27">
        <f>(C19-$D$29)/$D$29</f>
        <v>0.33156262797636454</v>
      </c>
    </row>
    <row r="20" spans="3:7" ht="12.75">
      <c r="C20" s="18">
        <f>G11-H11</f>
        <v>6600</v>
      </c>
      <c r="D20" s="19">
        <f>I11+F11</f>
        <v>6600</v>
      </c>
      <c r="F20" s="26">
        <v>0.02</v>
      </c>
      <c r="G20" s="27">
        <f>(C20-$D$29)/$D$29</f>
        <v>0.06525010238109163</v>
      </c>
    </row>
    <row r="21" spans="3:7" ht="12.75">
      <c r="C21" s="18">
        <f>G12-H12</f>
        <v>5225</v>
      </c>
      <c r="D21" s="19">
        <f>I12+F12</f>
        <v>5225</v>
      </c>
      <c r="F21" s="26">
        <v>-0.11</v>
      </c>
      <c r="G21" s="27">
        <f>(C21-$D$29)/$D$29</f>
        <v>-0.15667700228163578</v>
      </c>
    </row>
    <row r="22" spans="3:7" ht="12.75">
      <c r="C22" s="10"/>
      <c r="D22" s="9"/>
      <c r="F22" s="24"/>
      <c r="G22" s="25"/>
    </row>
    <row r="23" spans="2:8" ht="16.5" thickBot="1">
      <c r="B23" s="17" t="s">
        <v>31</v>
      </c>
      <c r="C23" s="15">
        <f>SUM(C19:C21)/3</f>
        <v>6691.666666666667</v>
      </c>
      <c r="D23" s="16">
        <f>SUM(D19:D21)/3</f>
        <v>6691.666666666667</v>
      </c>
      <c r="E23" s="17" t="s">
        <v>32</v>
      </c>
      <c r="F23" s="26">
        <f>SUM(F19:F21)/3</f>
        <v>0.07666666666666667</v>
      </c>
      <c r="G23" s="27">
        <f>SUM(G19:G21)/3</f>
        <v>0.08004524269194013</v>
      </c>
      <c r="H23" s="49" t="s">
        <v>53</v>
      </c>
    </row>
    <row r="24" spans="5:8" ht="16.5" thickBot="1">
      <c r="E24" s="17" t="s">
        <v>16</v>
      </c>
      <c r="F24" s="28">
        <f>((B10*(F19-F23)^2+B11*(F20-F23)^2+B12*(F21-F23)^2))</f>
        <v>0.03242222222222223</v>
      </c>
      <c r="G24" s="29">
        <f>((B10*(G19-G23)^2+B11*(G20-G23)^2+B12*(G21-G23)^2))</f>
        <v>0.039839104180820324</v>
      </c>
      <c r="H24" s="49" t="s">
        <v>52</v>
      </c>
    </row>
    <row r="26" spans="3:7" ht="15.75">
      <c r="C26" s="56" t="s">
        <v>34</v>
      </c>
      <c r="D26" s="56"/>
      <c r="F26" s="56" t="s">
        <v>33</v>
      </c>
      <c r="G26" s="56"/>
    </row>
    <row r="27" spans="3:10" ht="12.75">
      <c r="C27" s="72">
        <f>B10*(C19-C23)*(F19-F23)+B11*(C20-C23)*(F20-F23)+B12*(C21-C23)*(F21-F23)</f>
        <v>219.3888888888889</v>
      </c>
      <c r="D27" s="72"/>
      <c r="F27" s="73">
        <f>B10*(G19-G23)*(F19-F23)+B11*(G20-G23)*(F20-F23)+B12*(G21-G23)*(F21-F23)</f>
        <v>0.0354097024772974</v>
      </c>
      <c r="G27" s="73"/>
      <c r="I27" s="56"/>
      <c r="J27" s="56"/>
    </row>
    <row r="28" spans="9:10" ht="12.75">
      <c r="I28" s="1"/>
      <c r="J28" s="1"/>
    </row>
    <row r="29" spans="3:10" ht="12.75">
      <c r="C29" t="s">
        <v>18</v>
      </c>
      <c r="D29" s="14">
        <f>(C23-(F23-D6)/F24*C27)/(1+D6)</f>
        <v>6195.728106711657</v>
      </c>
      <c r="F29" s="56" t="s">
        <v>35</v>
      </c>
      <c r="G29" s="56"/>
      <c r="I29" s="4"/>
      <c r="J29" s="4"/>
    </row>
    <row r="30" spans="3:10" ht="12.75">
      <c r="C30" t="s">
        <v>21</v>
      </c>
      <c r="D30" s="14">
        <f>D29-D4</f>
        <v>4695.728106711657</v>
      </c>
      <c r="F30" s="71">
        <f>F27/F24</f>
        <v>1.092142982507459</v>
      </c>
      <c r="G30" s="71"/>
      <c r="I30" s="4"/>
      <c r="J30" s="4"/>
    </row>
    <row r="31" spans="4:10" ht="12.75">
      <c r="D31" s="4"/>
      <c r="I31" s="4"/>
      <c r="J31" s="4"/>
    </row>
    <row r="33" spans="3:4" ht="12.75">
      <c r="C33" s="56" t="s">
        <v>36</v>
      </c>
      <c r="D33" s="56"/>
    </row>
    <row r="34" spans="3:4" ht="12.75">
      <c r="C34" s="56">
        <f>((C19-C20)/C20)/((G10-G11)/G11)</f>
        <v>1</v>
      </c>
      <c r="D34" s="56"/>
    </row>
    <row r="36" spans="2:6" ht="12.75">
      <c r="B36" s="56" t="s">
        <v>44</v>
      </c>
      <c r="C36" s="56"/>
      <c r="D36" s="56"/>
      <c r="E36" s="56"/>
      <c r="F36" s="56"/>
    </row>
    <row r="37" spans="2:6" ht="12.75">
      <c r="B37" s="54" t="s">
        <v>0</v>
      </c>
      <c r="C37" s="54" t="s">
        <v>4</v>
      </c>
      <c r="D37" s="55" t="s">
        <v>42</v>
      </c>
      <c r="E37" s="55" t="s">
        <v>43</v>
      </c>
      <c r="F37" s="54" t="s">
        <v>8</v>
      </c>
    </row>
    <row r="38" spans="2:6" ht="12.75">
      <c r="B38" s="54"/>
      <c r="C38" s="54"/>
      <c r="D38" s="56"/>
      <c r="E38" s="56"/>
      <c r="F38" s="54"/>
    </row>
    <row r="39" spans="2:6" ht="12.75">
      <c r="B39" s="13">
        <v>0</v>
      </c>
      <c r="C39" s="13">
        <f aca="true" t="shared" si="0" ref="C39:C47">B39*$D$10</f>
        <v>0</v>
      </c>
      <c r="D39" s="13">
        <f aca="true" t="shared" si="1" ref="D39:D47">B39*$D$10</f>
        <v>0</v>
      </c>
      <c r="E39" s="13">
        <f aca="true" t="shared" si="2" ref="E39:E47">B39*$E$10</f>
        <v>0</v>
      </c>
      <c r="F39" s="13">
        <f aca="true" t="shared" si="3" ref="F39:F47">D39-E39</f>
        <v>0</v>
      </c>
    </row>
    <row r="40" spans="2:6" ht="12.75">
      <c r="B40" s="13">
        <v>200</v>
      </c>
      <c r="C40" s="13">
        <f>B40*$D$10</f>
        <v>3000</v>
      </c>
      <c r="D40" s="13">
        <f t="shared" si="1"/>
        <v>3000</v>
      </c>
      <c r="E40" s="13">
        <f t="shared" si="2"/>
        <v>1900</v>
      </c>
      <c r="F40" s="13">
        <f t="shared" si="3"/>
        <v>1100</v>
      </c>
    </row>
    <row r="41" spans="2:6" ht="12.75">
      <c r="B41" s="13">
        <v>400</v>
      </c>
      <c r="C41" s="13">
        <f>B41*$D$10</f>
        <v>6000</v>
      </c>
      <c r="D41" s="13">
        <f t="shared" si="1"/>
        <v>6000</v>
      </c>
      <c r="E41" s="13">
        <f t="shared" si="2"/>
        <v>3800</v>
      </c>
      <c r="F41" s="13">
        <f t="shared" si="3"/>
        <v>2200</v>
      </c>
    </row>
    <row r="42" spans="2:6" ht="12.75">
      <c r="B42" s="13">
        <v>600</v>
      </c>
      <c r="C42" s="13">
        <f t="shared" si="0"/>
        <v>9000</v>
      </c>
      <c r="D42" s="13">
        <f t="shared" si="1"/>
        <v>9000</v>
      </c>
      <c r="E42" s="13">
        <f t="shared" si="2"/>
        <v>5700</v>
      </c>
      <c r="F42" s="13">
        <f t="shared" si="3"/>
        <v>3300</v>
      </c>
    </row>
    <row r="43" spans="2:6" ht="12.75">
      <c r="B43" s="13">
        <v>800</v>
      </c>
      <c r="C43" s="13">
        <f t="shared" si="0"/>
        <v>12000</v>
      </c>
      <c r="D43" s="13">
        <f t="shared" si="1"/>
        <v>12000</v>
      </c>
      <c r="E43" s="13">
        <f t="shared" si="2"/>
        <v>7600</v>
      </c>
      <c r="F43" s="13">
        <f t="shared" si="3"/>
        <v>4400</v>
      </c>
    </row>
    <row r="44" spans="2:6" ht="12.75">
      <c r="B44" s="13">
        <v>1000</v>
      </c>
      <c r="C44" s="13">
        <f t="shared" si="0"/>
        <v>15000</v>
      </c>
      <c r="D44" s="13">
        <f t="shared" si="1"/>
        <v>15000</v>
      </c>
      <c r="E44" s="13">
        <f t="shared" si="2"/>
        <v>9500</v>
      </c>
      <c r="F44" s="13">
        <f t="shared" si="3"/>
        <v>5500</v>
      </c>
    </row>
    <row r="45" spans="2:6" ht="12.75">
      <c r="B45" s="13">
        <v>1200</v>
      </c>
      <c r="C45" s="13">
        <f t="shared" si="0"/>
        <v>18000</v>
      </c>
      <c r="D45" s="13">
        <f t="shared" si="1"/>
        <v>18000</v>
      </c>
      <c r="E45" s="13">
        <f t="shared" si="2"/>
        <v>11400</v>
      </c>
      <c r="F45" s="13">
        <f t="shared" si="3"/>
        <v>6600</v>
      </c>
    </row>
    <row r="46" spans="2:6" ht="12.75">
      <c r="B46" s="13">
        <v>1400</v>
      </c>
      <c r="C46" s="13">
        <f t="shared" si="0"/>
        <v>21000</v>
      </c>
      <c r="D46" s="13">
        <f t="shared" si="1"/>
        <v>21000</v>
      </c>
      <c r="E46" s="13">
        <f t="shared" si="2"/>
        <v>13300</v>
      </c>
      <c r="F46" s="13">
        <f t="shared" si="3"/>
        <v>7700</v>
      </c>
    </row>
    <row r="47" spans="2:6" ht="12.75">
      <c r="B47" s="13">
        <v>1600</v>
      </c>
      <c r="C47" s="13">
        <f t="shared" si="0"/>
        <v>24000</v>
      </c>
      <c r="D47" s="13">
        <f t="shared" si="1"/>
        <v>24000</v>
      </c>
      <c r="E47" s="13">
        <f t="shared" si="2"/>
        <v>15200</v>
      </c>
      <c r="F47" s="13">
        <f t="shared" si="3"/>
        <v>8800</v>
      </c>
    </row>
    <row r="49" ht="13.5" thickBot="1"/>
    <row r="50" spans="1:10" ht="13.5" thickBot="1">
      <c r="A50" s="59" t="s">
        <v>45</v>
      </c>
      <c r="B50" s="60"/>
      <c r="C50" s="60"/>
      <c r="D50" s="60"/>
      <c r="E50" s="60"/>
      <c r="F50" s="60"/>
      <c r="G50" s="60"/>
      <c r="H50" s="60"/>
      <c r="I50" s="60"/>
      <c r="J50" s="61"/>
    </row>
    <row r="51" spans="1:10" ht="12.75">
      <c r="A51" t="s">
        <v>5</v>
      </c>
      <c r="C51" s="13">
        <v>3900</v>
      </c>
      <c r="D51" s="47"/>
      <c r="E51" s="47"/>
      <c r="F51" s="47"/>
      <c r="G51" s="47"/>
      <c r="H51" s="48"/>
      <c r="I51" s="47"/>
      <c r="J51" s="48"/>
    </row>
    <row r="52" spans="1:10" ht="12.75">
      <c r="A52" t="s">
        <v>6</v>
      </c>
      <c r="C52" s="12">
        <v>0.1</v>
      </c>
      <c r="D52" s="47"/>
      <c r="E52" s="47"/>
      <c r="F52" s="47"/>
      <c r="G52" s="47"/>
      <c r="H52" s="47"/>
      <c r="I52" s="47"/>
      <c r="J52" s="47"/>
    </row>
    <row r="53" spans="1:10" ht="12.75">
      <c r="A53" t="s">
        <v>17</v>
      </c>
      <c r="C53" s="12">
        <v>0.04</v>
      </c>
      <c r="D53" s="47"/>
      <c r="E53" s="47"/>
      <c r="F53" s="47"/>
      <c r="G53" s="47"/>
      <c r="H53" s="47"/>
      <c r="I53" s="47"/>
      <c r="J53" s="47"/>
    </row>
    <row r="54" spans="1:10" ht="12.75">
      <c r="A54" s="47"/>
      <c r="B54" s="47"/>
      <c r="C54" s="47"/>
      <c r="D54" s="47"/>
      <c r="E54" s="47"/>
      <c r="F54" s="47"/>
      <c r="G54" s="47"/>
      <c r="H54" s="47"/>
      <c r="I54" s="47"/>
      <c r="J54" s="47"/>
    </row>
    <row r="55" spans="1:11" ht="12.75">
      <c r="A55" s="57" t="s">
        <v>37</v>
      </c>
      <c r="B55" s="62" t="s">
        <v>28</v>
      </c>
      <c r="C55" s="57" t="s">
        <v>38</v>
      </c>
      <c r="D55" s="57" t="s">
        <v>39</v>
      </c>
      <c r="E55" s="57" t="s">
        <v>40</v>
      </c>
      <c r="F55" s="64" t="s">
        <v>10</v>
      </c>
      <c r="G55" s="57" t="s">
        <v>41</v>
      </c>
      <c r="H55" s="70" t="s">
        <v>22</v>
      </c>
      <c r="I55" s="70" t="s">
        <v>7</v>
      </c>
      <c r="J55" s="70" t="s">
        <v>13</v>
      </c>
      <c r="K55" s="37"/>
    </row>
    <row r="56" spans="1:11" ht="13.5" thickBot="1">
      <c r="A56" s="58"/>
      <c r="B56" s="63"/>
      <c r="C56" s="58"/>
      <c r="D56" s="58"/>
      <c r="E56" s="58"/>
      <c r="F56" s="65"/>
      <c r="G56" s="58"/>
      <c r="H56" s="63"/>
      <c r="I56" s="63"/>
      <c r="J56" s="63"/>
      <c r="K56" s="32"/>
    </row>
    <row r="57" spans="1:11" ht="12.75">
      <c r="A57" t="s">
        <v>1</v>
      </c>
      <c r="B57" s="2">
        <f>1/3</f>
        <v>0.3333333333333333</v>
      </c>
      <c r="C57" s="38">
        <v>1500</v>
      </c>
      <c r="D57">
        <v>15</v>
      </c>
      <c r="E57">
        <v>8</v>
      </c>
      <c r="F57" s="13">
        <v>3900</v>
      </c>
      <c r="G57" s="13">
        <f>D57*C57</f>
        <v>22500</v>
      </c>
      <c r="H57" s="13">
        <v>1800</v>
      </c>
      <c r="I57" s="13">
        <f>E57*C57</f>
        <v>12000</v>
      </c>
      <c r="J57" s="13">
        <f>G57-I57-F57-H57</f>
        <v>4800</v>
      </c>
      <c r="K57" s="8"/>
    </row>
    <row r="58" spans="1:11" ht="12.75">
      <c r="A58" t="s">
        <v>2</v>
      </c>
      <c r="B58" s="2">
        <f>1/3</f>
        <v>0.3333333333333333</v>
      </c>
      <c r="C58" s="38">
        <v>1200</v>
      </c>
      <c r="D58">
        <v>15</v>
      </c>
      <c r="E58">
        <v>8</v>
      </c>
      <c r="F58" s="13">
        <v>3900</v>
      </c>
      <c r="G58" s="13">
        <f>D58*C58</f>
        <v>18000</v>
      </c>
      <c r="H58" s="13">
        <v>1800</v>
      </c>
      <c r="I58" s="13">
        <f>E58*C58</f>
        <v>9600</v>
      </c>
      <c r="J58" s="13">
        <f>G58-I58-F58-H58</f>
        <v>2700</v>
      </c>
      <c r="K58" s="8"/>
    </row>
    <row r="59" spans="1:11" ht="12.75">
      <c r="A59" t="s">
        <v>3</v>
      </c>
      <c r="B59" s="2">
        <f>1/3</f>
        <v>0.3333333333333333</v>
      </c>
      <c r="C59" s="38">
        <v>950</v>
      </c>
      <c r="D59">
        <v>15</v>
      </c>
      <c r="E59">
        <v>8</v>
      </c>
      <c r="F59" s="13">
        <v>3900</v>
      </c>
      <c r="G59" s="13">
        <f>D59*C59</f>
        <v>14250</v>
      </c>
      <c r="H59" s="13">
        <v>1800</v>
      </c>
      <c r="I59" s="13">
        <f>E59*C59</f>
        <v>7600</v>
      </c>
      <c r="J59" s="13">
        <f>G59-I59-F59-H59</f>
        <v>950</v>
      </c>
      <c r="K59" s="8"/>
    </row>
    <row r="60" spans="3:10" ht="12.75">
      <c r="C60" s="1"/>
      <c r="D60" s="1"/>
      <c r="E60" s="1"/>
      <c r="F60" s="1"/>
      <c r="G60" s="1"/>
      <c r="H60" s="1"/>
      <c r="I60" s="1"/>
      <c r="J60" s="1"/>
    </row>
    <row r="61" ht="13.5" thickBot="1"/>
    <row r="62" spans="3:7" ht="12.75">
      <c r="C62" s="68" t="s">
        <v>8</v>
      </c>
      <c r="D62" s="69"/>
      <c r="F62" s="68" t="s">
        <v>26</v>
      </c>
      <c r="G62" s="69"/>
    </row>
    <row r="63" spans="3:7" ht="12.75">
      <c r="C63" s="33" t="s">
        <v>11</v>
      </c>
      <c r="D63" s="34" t="s">
        <v>12</v>
      </c>
      <c r="F63" s="33" t="s">
        <v>14</v>
      </c>
      <c r="G63" s="34" t="s">
        <v>19</v>
      </c>
    </row>
    <row r="64" spans="3:7" ht="12.75">
      <c r="C64" s="18">
        <f>G57-I57-H57</f>
        <v>8700</v>
      </c>
      <c r="D64" s="19">
        <f>J57+F57</f>
        <v>8700</v>
      </c>
      <c r="F64" s="10"/>
      <c r="G64" s="9"/>
    </row>
    <row r="65" spans="3:7" ht="12.75">
      <c r="C65" s="18">
        <f>G58-I58-H58</f>
        <v>6600</v>
      </c>
      <c r="D65" s="19">
        <f>J58+F58</f>
        <v>6600</v>
      </c>
      <c r="F65" s="20">
        <v>0.32</v>
      </c>
      <c r="G65" s="21">
        <f>(C64-$D$75)/$D$75</f>
        <v>0.4135532021972609</v>
      </c>
    </row>
    <row r="66" spans="3:7" ht="12.75">
      <c r="C66" s="18">
        <f>G59-I59-H59</f>
        <v>4850</v>
      </c>
      <c r="D66" s="19">
        <f>J59+F59</f>
        <v>4850</v>
      </c>
      <c r="F66" s="20">
        <v>0.02</v>
      </c>
      <c r="G66" s="21">
        <f>(C65-$D$75)/$D$75</f>
        <v>0.07235070511516341</v>
      </c>
    </row>
    <row r="67" spans="3:7" ht="12.75">
      <c r="C67" s="42"/>
      <c r="D67" s="43"/>
      <c r="F67" s="20">
        <v>-0.11</v>
      </c>
      <c r="G67" s="21">
        <f>(C66-$D$75)/$D$75</f>
        <v>-0.2119847091199178</v>
      </c>
    </row>
    <row r="68" spans="3:7" ht="13.5" thickBot="1">
      <c r="C68" s="44">
        <f>SUM(C64:C66)/3</f>
        <v>6716.666666666667</v>
      </c>
      <c r="D68" s="45">
        <f>SUM(D64:D66)/3</f>
        <v>6716.666666666667</v>
      </c>
      <c r="F68" s="10"/>
      <c r="G68" s="9"/>
    </row>
    <row r="69" spans="5:8" ht="15.75">
      <c r="E69" s="17" t="s">
        <v>32</v>
      </c>
      <c r="F69" s="20">
        <f>SUM(F65:F67)/3</f>
        <v>0.07666666666666667</v>
      </c>
      <c r="G69" s="21">
        <f>SUM(G65:G67)/3</f>
        <v>0.09130639939750217</v>
      </c>
      <c r="H69" t="s">
        <v>54</v>
      </c>
    </row>
    <row r="70" spans="5:8" ht="16.5" thickBot="1">
      <c r="E70" s="17" t="s">
        <v>16</v>
      </c>
      <c r="F70" s="22">
        <f>B57*(F65-F69)^2+B58*(F66-F69)^2+B59*(F67-F69)^2</f>
        <v>0.03242222222222223</v>
      </c>
      <c r="G70" s="23">
        <f>B57*(G65-G69)^2+B58*(G66-G69)^2+B59*(G67-G69)^2</f>
        <v>0.06539593892203915</v>
      </c>
      <c r="H70" t="s">
        <v>55</v>
      </c>
    </row>
    <row r="72" spans="3:7" ht="15.75">
      <c r="C72" s="56" t="s">
        <v>15</v>
      </c>
      <c r="D72" s="56"/>
      <c r="F72" s="56" t="s">
        <v>20</v>
      </c>
      <c r="G72" s="56"/>
    </row>
    <row r="73" spans="3:10" ht="12.75">
      <c r="C73" s="72">
        <f>B57*(C64-C68)*(F65-F69)+B58*(C65-C68)*(F66-F69)+B59*(C66-C68)*(F67-F69)</f>
        <v>279.22222222222223</v>
      </c>
      <c r="D73" s="72"/>
      <c r="F73" s="73">
        <f>B57*(G65-G69)*(F65-F69)+B58*(G66-G69)*(F66-F69)+B59*(G67-G69)*(F67-F69)</f>
        <v>0.0453672949823974</v>
      </c>
      <c r="G73" s="73"/>
      <c r="J73" s="31"/>
    </row>
    <row r="75" spans="3:7" ht="12.75">
      <c r="C75" t="s">
        <v>18</v>
      </c>
      <c r="D75" s="14">
        <f>(C68-(F69-C53)/F70*C73)/(1+C53)</f>
        <v>6154.702905045606</v>
      </c>
      <c r="F75" s="56" t="s">
        <v>47</v>
      </c>
      <c r="G75" s="56"/>
    </row>
    <row r="76" spans="3:7" ht="12.75">
      <c r="C76" t="s">
        <v>21</v>
      </c>
      <c r="D76" s="14">
        <f>D75-C51</f>
        <v>2254.702905045606</v>
      </c>
      <c r="F76" s="56">
        <f>ROUND(F73/F70,4)</f>
        <v>1.3993</v>
      </c>
      <c r="G76" s="56"/>
    </row>
    <row r="79" spans="3:4" ht="12.75">
      <c r="C79" s="56" t="s">
        <v>36</v>
      </c>
      <c r="D79" s="56"/>
    </row>
    <row r="80" spans="3:4" ht="12.75">
      <c r="C80" s="72">
        <f>((C64-C65)/C65)/((G57-G58)/G58)</f>
        <v>1.2727272727272727</v>
      </c>
      <c r="D80" s="72"/>
    </row>
    <row r="82" spans="2:6" ht="12.75">
      <c r="B82" s="56" t="s">
        <v>44</v>
      </c>
      <c r="C82" s="56"/>
      <c r="D82" s="56"/>
      <c r="E82" s="56"/>
      <c r="F82" s="56"/>
    </row>
    <row r="83" spans="2:6" ht="12.75">
      <c r="B83" s="54" t="s">
        <v>0</v>
      </c>
      <c r="C83" s="54" t="s">
        <v>4</v>
      </c>
      <c r="D83" s="55" t="s">
        <v>42</v>
      </c>
      <c r="E83" s="55" t="s">
        <v>43</v>
      </c>
      <c r="F83" s="54" t="s">
        <v>8</v>
      </c>
    </row>
    <row r="84" spans="2:10" ht="12.75">
      <c r="B84" s="54"/>
      <c r="C84" s="54"/>
      <c r="D84" s="56"/>
      <c r="E84" s="56"/>
      <c r="F84" s="54"/>
      <c r="I84" s="3"/>
      <c r="J84" s="5"/>
    </row>
    <row r="85" spans="2:10" ht="12.75">
      <c r="B85">
        <v>0</v>
      </c>
      <c r="C85">
        <f>$D$57*B85</f>
        <v>0</v>
      </c>
      <c r="D85">
        <f>B85*$D$57</f>
        <v>0</v>
      </c>
      <c r="E85">
        <f>$H$57+B85*$E$57</f>
        <v>1800</v>
      </c>
      <c r="F85">
        <f>D85-E85</f>
        <v>-1800</v>
      </c>
      <c r="I85" s="3"/>
      <c r="J85" s="5"/>
    </row>
    <row r="86" spans="2:10" ht="12.75">
      <c r="B86">
        <v>200</v>
      </c>
      <c r="C86">
        <f aca="true" t="shared" si="4" ref="C86:C93">$D$57*B86</f>
        <v>3000</v>
      </c>
      <c r="D86">
        <f aca="true" t="shared" si="5" ref="D86:D93">B86*$D$57</f>
        <v>3000</v>
      </c>
      <c r="E86">
        <f aca="true" t="shared" si="6" ref="E86:E93">$H$57+B86*$E$57</f>
        <v>3400</v>
      </c>
      <c r="F86">
        <f aca="true" t="shared" si="7" ref="F86:F92">D86-E86</f>
        <v>-400</v>
      </c>
      <c r="I86" s="3"/>
      <c r="J86" s="5"/>
    </row>
    <row r="87" spans="2:10" ht="12.75">
      <c r="B87">
        <v>400</v>
      </c>
      <c r="C87">
        <f t="shared" si="4"/>
        <v>6000</v>
      </c>
      <c r="D87">
        <f t="shared" si="5"/>
        <v>6000</v>
      </c>
      <c r="E87">
        <f t="shared" si="6"/>
        <v>5000</v>
      </c>
      <c r="F87">
        <f t="shared" si="7"/>
        <v>1000</v>
      </c>
      <c r="I87" s="3"/>
      <c r="J87" s="5"/>
    </row>
    <row r="88" spans="2:10" ht="12.75">
      <c r="B88">
        <v>600</v>
      </c>
      <c r="C88">
        <f t="shared" si="4"/>
        <v>9000</v>
      </c>
      <c r="D88">
        <f t="shared" si="5"/>
        <v>9000</v>
      </c>
      <c r="E88">
        <f t="shared" si="6"/>
        <v>6600</v>
      </c>
      <c r="F88">
        <f t="shared" si="7"/>
        <v>2400</v>
      </c>
      <c r="I88" s="3"/>
      <c r="J88" s="5"/>
    </row>
    <row r="89" spans="2:10" ht="12.75">
      <c r="B89">
        <v>800</v>
      </c>
      <c r="C89">
        <f t="shared" si="4"/>
        <v>12000</v>
      </c>
      <c r="D89">
        <f t="shared" si="5"/>
        <v>12000</v>
      </c>
      <c r="E89">
        <f t="shared" si="6"/>
        <v>8200</v>
      </c>
      <c r="F89">
        <f t="shared" si="7"/>
        <v>3800</v>
      </c>
      <c r="I89" s="3"/>
      <c r="J89" s="5"/>
    </row>
    <row r="90" spans="2:10" ht="12.75">
      <c r="B90">
        <v>1000</v>
      </c>
      <c r="C90">
        <f t="shared" si="4"/>
        <v>15000</v>
      </c>
      <c r="D90">
        <f t="shared" si="5"/>
        <v>15000</v>
      </c>
      <c r="E90">
        <f t="shared" si="6"/>
        <v>9800</v>
      </c>
      <c r="F90">
        <f t="shared" si="7"/>
        <v>5200</v>
      </c>
      <c r="I90" s="3"/>
      <c r="J90" s="5"/>
    </row>
    <row r="91" spans="2:10" ht="12.75">
      <c r="B91">
        <v>1200</v>
      </c>
      <c r="C91">
        <f t="shared" si="4"/>
        <v>18000</v>
      </c>
      <c r="D91">
        <f t="shared" si="5"/>
        <v>18000</v>
      </c>
      <c r="E91">
        <f t="shared" si="6"/>
        <v>11400</v>
      </c>
      <c r="F91">
        <f t="shared" si="7"/>
        <v>6600</v>
      </c>
      <c r="I91" s="3"/>
      <c r="J91" s="5"/>
    </row>
    <row r="92" spans="2:10" ht="12.75">
      <c r="B92">
        <v>1400</v>
      </c>
      <c r="C92">
        <f t="shared" si="4"/>
        <v>21000</v>
      </c>
      <c r="D92">
        <f t="shared" si="5"/>
        <v>21000</v>
      </c>
      <c r="E92">
        <f t="shared" si="6"/>
        <v>13000</v>
      </c>
      <c r="F92">
        <f t="shared" si="7"/>
        <v>8000</v>
      </c>
      <c r="I92" s="3"/>
      <c r="J92" s="5"/>
    </row>
    <row r="93" spans="2:10" ht="12.75">
      <c r="B93">
        <v>1600</v>
      </c>
      <c r="C93">
        <f t="shared" si="4"/>
        <v>24000</v>
      </c>
      <c r="D93">
        <f t="shared" si="5"/>
        <v>24000</v>
      </c>
      <c r="E93">
        <f t="shared" si="6"/>
        <v>14600</v>
      </c>
      <c r="F93">
        <f>D93-E93</f>
        <v>9400</v>
      </c>
      <c r="I93" s="3"/>
      <c r="J93" s="5"/>
    </row>
    <row r="95" ht="13.5" thickBot="1"/>
    <row r="96" spans="1:10" ht="13.5" thickBot="1">
      <c r="A96" s="59" t="s">
        <v>48</v>
      </c>
      <c r="B96" s="60"/>
      <c r="C96" s="60"/>
      <c r="D96" s="60"/>
      <c r="E96" s="60"/>
      <c r="F96" s="60"/>
      <c r="G96" s="60"/>
      <c r="H96" s="60"/>
      <c r="I96" s="60"/>
      <c r="J96" s="61"/>
    </row>
    <row r="97" spans="1:10" ht="12.75">
      <c r="A97" t="s">
        <v>5</v>
      </c>
      <c r="C97" s="13">
        <v>3900</v>
      </c>
      <c r="D97" s="47"/>
      <c r="E97" s="47"/>
      <c r="F97" s="47"/>
      <c r="G97" s="47"/>
      <c r="H97" s="47"/>
      <c r="I97" s="47"/>
      <c r="J97" s="47"/>
    </row>
    <row r="98" spans="1:10" ht="12.75">
      <c r="A98" t="s">
        <v>51</v>
      </c>
      <c r="C98" s="13">
        <f>C97*0.5</f>
        <v>1950</v>
      </c>
      <c r="D98" s="47"/>
      <c r="E98" s="47"/>
      <c r="F98" s="47"/>
      <c r="G98" s="47"/>
      <c r="H98" s="47"/>
      <c r="I98" s="47"/>
      <c r="J98" s="47"/>
    </row>
    <row r="99" spans="1:10" ht="12.75">
      <c r="A99" t="s">
        <v>6</v>
      </c>
      <c r="C99" s="6">
        <v>0.1</v>
      </c>
      <c r="D99" s="47"/>
      <c r="E99" s="47"/>
      <c r="F99" s="47"/>
      <c r="G99" s="47"/>
      <c r="H99" s="47"/>
      <c r="I99" s="47"/>
      <c r="J99" s="47"/>
    </row>
    <row r="100" spans="1:10" ht="12.75">
      <c r="A100" t="s">
        <v>17</v>
      </c>
      <c r="C100" s="6">
        <v>0.04</v>
      </c>
      <c r="D100" s="47"/>
      <c r="E100" s="47"/>
      <c r="F100" s="47"/>
      <c r="G100" s="47"/>
      <c r="H100" s="47"/>
      <c r="I100" s="47"/>
      <c r="J100" s="47"/>
    </row>
    <row r="102" spans="1:11" ht="12.75">
      <c r="A102" s="57" t="s">
        <v>37</v>
      </c>
      <c r="B102" s="62" t="s">
        <v>28</v>
      </c>
      <c r="C102" s="57" t="s">
        <v>38</v>
      </c>
      <c r="D102" s="57" t="s">
        <v>39</v>
      </c>
      <c r="E102" s="57" t="s">
        <v>40</v>
      </c>
      <c r="F102" s="64" t="s">
        <v>10</v>
      </c>
      <c r="G102" s="57" t="s">
        <v>41</v>
      </c>
      <c r="H102" s="70" t="s">
        <v>22</v>
      </c>
      <c r="I102" s="70" t="s">
        <v>7</v>
      </c>
      <c r="J102" s="70" t="s">
        <v>13</v>
      </c>
      <c r="K102" s="57" t="s">
        <v>50</v>
      </c>
    </row>
    <row r="103" spans="1:11" ht="13.5" thickBot="1">
      <c r="A103" s="58"/>
      <c r="B103" s="63"/>
      <c r="C103" s="58"/>
      <c r="D103" s="58"/>
      <c r="E103" s="58"/>
      <c r="F103" s="65"/>
      <c r="G103" s="58"/>
      <c r="H103" s="63"/>
      <c r="I103" s="63"/>
      <c r="J103" s="63"/>
      <c r="K103" s="58"/>
    </row>
    <row r="104" spans="1:12" ht="12.75">
      <c r="A104" t="s">
        <v>49</v>
      </c>
      <c r="B104" s="2">
        <f>1/3</f>
        <v>0.3333333333333333</v>
      </c>
      <c r="C104" s="13">
        <v>1500</v>
      </c>
      <c r="D104" s="13">
        <v>15</v>
      </c>
      <c r="E104" s="13">
        <v>8</v>
      </c>
      <c r="F104" s="13">
        <v>3900</v>
      </c>
      <c r="G104" s="13">
        <f>D104*C104</f>
        <v>22500</v>
      </c>
      <c r="H104" s="13">
        <v>1800</v>
      </c>
      <c r="I104" s="13">
        <f>E104*C104</f>
        <v>12000</v>
      </c>
      <c r="J104" s="13">
        <f>G104-I104-F104-H104</f>
        <v>4800</v>
      </c>
      <c r="K104" s="13">
        <f>$C$98*$C$100</f>
        <v>78</v>
      </c>
      <c r="L104" s="1"/>
    </row>
    <row r="105" spans="1:11" ht="12.75">
      <c r="A105" t="s">
        <v>2</v>
      </c>
      <c r="B105" s="2">
        <f>1/3</f>
        <v>0.3333333333333333</v>
      </c>
      <c r="C105" s="13">
        <v>1200</v>
      </c>
      <c r="D105" s="13">
        <v>15</v>
      </c>
      <c r="E105" s="13">
        <v>8</v>
      </c>
      <c r="F105" s="13">
        <v>3900</v>
      </c>
      <c r="G105" s="13">
        <f>D105*C105</f>
        <v>18000</v>
      </c>
      <c r="H105" s="13">
        <v>1800</v>
      </c>
      <c r="I105" s="13">
        <f>E105*C105</f>
        <v>9600</v>
      </c>
      <c r="J105" s="13">
        <f>G105-I105-F105-H105</f>
        <v>2700</v>
      </c>
      <c r="K105" s="13">
        <f>$C$98*$C$100</f>
        <v>78</v>
      </c>
    </row>
    <row r="106" spans="1:11" ht="12.75">
      <c r="A106" t="s">
        <v>3</v>
      </c>
      <c r="B106" s="2">
        <f>1/3</f>
        <v>0.3333333333333333</v>
      </c>
      <c r="C106" s="13">
        <v>950</v>
      </c>
      <c r="D106" s="13">
        <v>15</v>
      </c>
      <c r="E106" s="13">
        <v>8</v>
      </c>
      <c r="F106" s="13">
        <v>3900</v>
      </c>
      <c r="G106" s="13">
        <f>D106*C106</f>
        <v>14250</v>
      </c>
      <c r="H106" s="13">
        <v>1800</v>
      </c>
      <c r="I106" s="13">
        <f>E106*C106</f>
        <v>7600</v>
      </c>
      <c r="J106" s="13">
        <f>G106-I106-F106-H106</f>
        <v>950</v>
      </c>
      <c r="K106" s="13">
        <f>$C$98*$C$100</f>
        <v>78</v>
      </c>
    </row>
    <row r="108" ht="13.5" thickBot="1"/>
    <row r="109" spans="3:10" ht="12.75">
      <c r="C109" s="68" t="s">
        <v>8</v>
      </c>
      <c r="D109" s="69"/>
      <c r="E109" s="68" t="s">
        <v>23</v>
      </c>
      <c r="F109" s="69"/>
      <c r="H109" s="68" t="s">
        <v>26</v>
      </c>
      <c r="I109" s="74"/>
      <c r="J109" s="69"/>
    </row>
    <row r="110" spans="3:10" ht="12.75">
      <c r="C110" s="33" t="s">
        <v>11</v>
      </c>
      <c r="D110" s="34" t="s">
        <v>12</v>
      </c>
      <c r="E110" s="33" t="s">
        <v>11</v>
      </c>
      <c r="F110" s="34" t="s">
        <v>12</v>
      </c>
      <c r="H110" s="33" t="s">
        <v>14</v>
      </c>
      <c r="I110" s="66" t="s">
        <v>19</v>
      </c>
      <c r="J110" s="67"/>
    </row>
    <row r="111" spans="3:10" ht="14.25">
      <c r="C111" s="18">
        <f>G104-I104-H104</f>
        <v>8700</v>
      </c>
      <c r="D111" s="19">
        <f>J104+F104</f>
        <v>8700</v>
      </c>
      <c r="E111" s="18">
        <f>G104-H104-I104-K104-$C$98</f>
        <v>6672</v>
      </c>
      <c r="F111" s="19">
        <f>J104+F104-$C$98-K104</f>
        <v>6672</v>
      </c>
      <c r="H111" s="10"/>
      <c r="I111" s="7" t="s">
        <v>56</v>
      </c>
      <c r="J111" s="51" t="s">
        <v>57</v>
      </c>
    </row>
    <row r="112" spans="3:10" ht="12.75">
      <c r="C112" s="10">
        <f>G105-I105-H105</f>
        <v>6600</v>
      </c>
      <c r="D112" s="9">
        <f>J105+F105</f>
        <v>6600</v>
      </c>
      <c r="E112" s="18">
        <f>G105-H105-I105-K105-$C$98</f>
        <v>4572</v>
      </c>
      <c r="F112" s="19">
        <f>J105+F105-$C$98-K105</f>
        <v>4572</v>
      </c>
      <c r="H112" s="20">
        <v>0.32</v>
      </c>
      <c r="I112" s="50">
        <f>(C111-$D$122)/$D$122</f>
        <v>0.4135532021972609</v>
      </c>
      <c r="J112" s="21">
        <f>(E111-($D$122-$C$98))/($D$122-$C$98)</f>
        <v>0.5867946322660894</v>
      </c>
    </row>
    <row r="113" spans="3:10" ht="12.75">
      <c r="C113" s="10">
        <f>G106-I106-H106</f>
        <v>4850</v>
      </c>
      <c r="D113" s="9">
        <f>J106+F106</f>
        <v>4850</v>
      </c>
      <c r="E113" s="18">
        <f>G106-H106-I106-K106-$C$98</f>
        <v>2822</v>
      </c>
      <c r="F113" s="19">
        <f>J106+F106-$C$98-K106</f>
        <v>2822</v>
      </c>
      <c r="H113" s="20">
        <v>0.02</v>
      </c>
      <c r="I113" s="50">
        <f>(C112-$D$122)/$D$122</f>
        <v>0.07235070511516341</v>
      </c>
      <c r="J113" s="21">
        <f>(E112-($D$122-$C$98))/($D$122-$C$98)</f>
        <v>0.08735387570751811</v>
      </c>
    </row>
    <row r="114" spans="3:14" ht="12.75">
      <c r="C114" s="10"/>
      <c r="D114" s="9"/>
      <c r="E114" s="10"/>
      <c r="F114" s="9"/>
      <c r="H114" s="20">
        <v>-0.11</v>
      </c>
      <c r="I114" s="50">
        <f>(C113-$D$122)/$D$122</f>
        <v>-0.2119847091199178</v>
      </c>
      <c r="J114" s="21">
        <f>(E113-($D$122-$C$98))/($D$122-$C$98)</f>
        <v>-0.328846754757958</v>
      </c>
      <c r="N114" s="13"/>
    </row>
    <row r="115" spans="3:10" ht="13.5" thickBot="1">
      <c r="C115" s="15">
        <f>SUM(C111:C113)/3</f>
        <v>6716.666666666667</v>
      </c>
      <c r="D115" s="16">
        <f>SUM(D111:D113)/3</f>
        <v>6716.666666666667</v>
      </c>
      <c r="E115" s="44">
        <f>SUM(E111:E113)/3</f>
        <v>4688.666666666667</v>
      </c>
      <c r="F115" s="45">
        <f>SUM(F111:F113)/3</f>
        <v>4688.666666666667</v>
      </c>
      <c r="H115" s="10"/>
      <c r="I115" s="8"/>
      <c r="J115" s="9"/>
    </row>
    <row r="116" spans="7:11" ht="15.75">
      <c r="G116" s="17" t="s">
        <v>32</v>
      </c>
      <c r="H116" s="20">
        <f>SUM(H112:H114)/3</f>
        <v>0.07666666666666667</v>
      </c>
      <c r="I116" s="50">
        <f>SUM(I112:I114)/3</f>
        <v>0.09130639939750217</v>
      </c>
      <c r="J116" s="21">
        <f>SUM(J112:J114)/3</f>
        <v>0.11510058440521649</v>
      </c>
      <c r="K116" t="s">
        <v>54</v>
      </c>
    </row>
    <row r="117" spans="7:12" ht="16.5" thickBot="1">
      <c r="G117" s="17" t="s">
        <v>16</v>
      </c>
      <c r="H117" s="22">
        <f>B104*(H112-H116)^2+B105*(H113-H116)^2+B106*(H114-H116)^2</f>
        <v>0.03242222222222223</v>
      </c>
      <c r="I117" s="52">
        <f>B104*(I112-I116)^2+B105*(I113-I116)^2+B106*(I114-I116)^2</f>
        <v>0.06539593892203915</v>
      </c>
      <c r="J117" s="23">
        <f>B104*(J112-J116)^2+B105*(J113-J116)^2+B106*(J114-J116)^2</f>
        <v>0.14011813152699767</v>
      </c>
      <c r="K117" t="s">
        <v>55</v>
      </c>
      <c r="L117" s="31"/>
    </row>
    <row r="119" spans="3:10" ht="15.75">
      <c r="C119" s="56" t="s">
        <v>15</v>
      </c>
      <c r="D119" s="56"/>
      <c r="I119" t="s">
        <v>20</v>
      </c>
      <c r="J119" t="s">
        <v>20</v>
      </c>
    </row>
    <row r="120" spans="3:10" ht="12.75">
      <c r="C120" s="72">
        <f>B104*(C111-C115)*(H112-H116)+B105*(C112-C115)*(H113-H116)+B106*(C113-C115)*(H114-H116)</f>
        <v>279.22222222222223</v>
      </c>
      <c r="D120" s="72"/>
      <c r="I120" s="46">
        <f>ROUND(B104*(I112-I116)*(H112-H116)+B105*(I113-I116)*(H113-H116)+B106*(I114-I116)*(H114-H116),4)</f>
        <v>0.0454</v>
      </c>
      <c r="J120" s="46">
        <f>ROUND(B104*(J112-J116)*(H112-H116)+B105*(J113-J116)*(H113-H116)+B106*(J114-J116)*(H114-H116),9)</f>
        <v>0.066407123</v>
      </c>
    </row>
    <row r="122" spans="3:7" ht="12.75">
      <c r="C122" t="s">
        <v>18</v>
      </c>
      <c r="D122" s="14">
        <f>(C115-(H116-C100)/H117*C120)/(1+C100)</f>
        <v>6154.702905045606</v>
      </c>
      <c r="F122" t="s">
        <v>24</v>
      </c>
      <c r="G122" s="3">
        <f>I120/H117</f>
        <v>1.4002741603838245</v>
      </c>
    </row>
    <row r="123" spans="3:7" ht="12.75">
      <c r="C123" t="s">
        <v>21</v>
      </c>
      <c r="D123" s="14">
        <f>D122-C97</f>
        <v>2254.702905045606</v>
      </c>
      <c r="F123" t="s">
        <v>25</v>
      </c>
      <c r="G123" s="3">
        <f>J120/H117</f>
        <v>2.0481977621658665</v>
      </c>
    </row>
    <row r="124" spans="9:15" ht="12.75">
      <c r="I124" s="8"/>
      <c r="J124" s="8"/>
      <c r="K124" s="8"/>
      <c r="L124" s="8"/>
      <c r="M124" s="8"/>
      <c r="N124" s="8"/>
      <c r="O124" s="8"/>
    </row>
    <row r="125" spans="9:15" ht="12.75">
      <c r="I125" s="8"/>
      <c r="J125" s="53"/>
      <c r="K125" s="53"/>
      <c r="L125" s="8"/>
      <c r="M125" s="8"/>
      <c r="N125" s="8"/>
      <c r="O125" s="8"/>
    </row>
    <row r="126" spans="3:15" ht="12.75">
      <c r="C126" s="56" t="s">
        <v>36</v>
      </c>
      <c r="D126" s="56"/>
      <c r="I126" s="8"/>
      <c r="J126" s="7"/>
      <c r="K126" s="7"/>
      <c r="L126" s="8"/>
      <c r="M126" s="8"/>
      <c r="N126" s="8"/>
      <c r="O126" s="8"/>
    </row>
    <row r="127" spans="3:15" ht="12.75">
      <c r="C127" s="72">
        <f>((C111-C112)/C112)/((G104-G105)/G105)</f>
        <v>1.2727272727272727</v>
      </c>
      <c r="D127" s="72"/>
      <c r="I127" s="8"/>
      <c r="J127" s="8"/>
      <c r="K127" s="8"/>
      <c r="L127" s="8"/>
      <c r="M127" s="8"/>
      <c r="N127" s="8"/>
      <c r="O127" s="8"/>
    </row>
    <row r="128" spans="3:15" ht="12.75">
      <c r="C128" s="56" t="s">
        <v>58</v>
      </c>
      <c r="D128" s="56"/>
      <c r="I128" s="8"/>
      <c r="J128" s="8"/>
      <c r="K128" s="8"/>
      <c r="L128" s="8"/>
      <c r="M128" s="11"/>
      <c r="N128" s="8"/>
      <c r="O128" s="8"/>
    </row>
    <row r="129" spans="3:15" ht="12.75">
      <c r="C129" s="72">
        <f>((E111-E112)/E112)/((C111-C112)/C112)</f>
        <v>1.4435695538057742</v>
      </c>
      <c r="D129" s="72"/>
      <c r="I129" s="8"/>
      <c r="J129" s="8"/>
      <c r="K129" s="8"/>
      <c r="L129" s="8"/>
      <c r="M129" s="8"/>
      <c r="N129" s="8"/>
      <c r="O129" s="8"/>
    </row>
    <row r="130" spans="3:15" ht="12.75">
      <c r="C130" s="56" t="s">
        <v>59</v>
      </c>
      <c r="D130" s="56"/>
      <c r="I130" s="8"/>
      <c r="J130" s="8"/>
      <c r="K130" s="8"/>
      <c r="L130" s="8"/>
      <c r="M130" s="8"/>
      <c r="N130" s="8"/>
      <c r="O130" s="8"/>
    </row>
    <row r="131" spans="3:15" ht="12.75">
      <c r="C131" s="72">
        <f>((F111-F112)/F112)/((G104-G105)/G105)</f>
        <v>1.837270341207349</v>
      </c>
      <c r="D131" s="72"/>
      <c r="J131" s="1" t="s">
        <v>60</v>
      </c>
      <c r="L131" s="1" t="s">
        <v>60</v>
      </c>
      <c r="O131" s="4"/>
    </row>
    <row r="132" spans="9:12" ht="14.25">
      <c r="I132" t="s">
        <v>27</v>
      </c>
      <c r="J132" s="3">
        <f>J112</f>
        <v>0.5867946322660894</v>
      </c>
      <c r="L132" s="31">
        <f>J114</f>
        <v>-0.328846754757958</v>
      </c>
    </row>
    <row r="133" spans="9:15" ht="12.75">
      <c r="I133">
        <f aca="true" t="shared" si="8" ref="I133:I153">J133/($D$122-J133)</f>
        <v>0</v>
      </c>
      <c r="J133">
        <v>0</v>
      </c>
      <c r="K133">
        <f t="dataTable" ref="K133:K153" dt2D="1" dtr="1" r1="O131" r2="C98"/>
        <v>0.4135532021972609</v>
      </c>
      <c r="L133">
        <f>J133</f>
        <v>0</v>
      </c>
      <c r="M133">
        <f t="dataTable" ref="M133:M153" dt2D="1" dtr="1" r1="N129" r2="C98"/>
        <v>-0.2119847091199178</v>
      </c>
      <c r="O133" s="4"/>
    </row>
    <row r="134" spans="9:13" ht="12.75">
      <c r="I134">
        <f t="shared" si="8"/>
        <v>0.016516087010093647</v>
      </c>
      <c r="J134">
        <v>100</v>
      </c>
      <c r="K134">
        <v>0.4197228393876499</v>
      </c>
      <c r="L134">
        <f aca="true" t="shared" si="9" ref="L134:L153">J134</f>
        <v>100</v>
      </c>
      <c r="M134">
        <v>-0.2161465105009555</v>
      </c>
    </row>
    <row r="135" spans="9:13" ht="12.75">
      <c r="I135">
        <f t="shared" si="8"/>
        <v>0.05124085796761076</v>
      </c>
      <c r="J135">
        <v>300</v>
      </c>
      <c r="K135">
        <v>0.43269438877439687</v>
      </c>
      <c r="L135">
        <f t="shared" si="9"/>
        <v>300</v>
      </c>
      <c r="M135">
        <v>-0.22489662180994122</v>
      </c>
    </row>
    <row r="136" spans="9:13" ht="12.75">
      <c r="I136">
        <f t="shared" si="8"/>
        <v>0.08842197519410924</v>
      </c>
      <c r="J136">
        <v>500</v>
      </c>
      <c r="K136">
        <v>0.44658351417562714</v>
      </c>
      <c r="L136">
        <f t="shared" si="9"/>
        <v>500</v>
      </c>
      <c r="M136">
        <v>-0.234265694819014</v>
      </c>
    </row>
    <row r="137" spans="9:13" ht="12.75">
      <c r="I137">
        <f t="shared" si="8"/>
        <v>0.12832962897988437</v>
      </c>
      <c r="J137">
        <v>700</v>
      </c>
      <c r="K137">
        <v>0.46149114603948305</v>
      </c>
      <c r="L137">
        <f t="shared" si="9"/>
        <v>700</v>
      </c>
      <c r="M137">
        <v>-0.24432181334988093</v>
      </c>
    </row>
    <row r="138" spans="9:13" ht="12.75">
      <c r="I138">
        <f t="shared" si="8"/>
        <v>0.1712751446206051</v>
      </c>
      <c r="J138">
        <v>900</v>
      </c>
      <c r="K138">
        <v>0.47753358092708686</v>
      </c>
      <c r="L138">
        <f t="shared" si="9"/>
        <v>900</v>
      </c>
      <c r="M138">
        <v>-0.2551434266166128</v>
      </c>
    </row>
    <row r="139" spans="9:13" ht="12.75">
      <c r="I139">
        <f t="shared" si="8"/>
        <v>0.21761912038430187</v>
      </c>
      <c r="J139">
        <v>1100</v>
      </c>
      <c r="K139">
        <v>0.494845521476168</v>
      </c>
      <c r="L139">
        <f t="shared" si="9"/>
        <v>1100</v>
      </c>
      <c r="M139">
        <v>-0.2668213998688885</v>
      </c>
    </row>
    <row r="140" spans="9:13" ht="12.75">
      <c r="I140">
        <f t="shared" si="8"/>
        <v>0.2677815770454006</v>
      </c>
      <c r="J140">
        <v>1300</v>
      </c>
      <c r="K140">
        <v>0.5135838677920028</v>
      </c>
      <c r="L140">
        <f t="shared" si="9"/>
        <v>1300</v>
      </c>
      <c r="M140">
        <v>-0.27946157191937593</v>
      </c>
    </row>
    <row r="141" spans="9:13" ht="12.75">
      <c r="I141">
        <f t="shared" si="8"/>
        <v>0.3222547240069886</v>
      </c>
      <c r="J141">
        <v>1500</v>
      </c>
      <c r="K141">
        <v>0.533932486273266</v>
      </c>
      <c r="L141">
        <f t="shared" si="9"/>
        <v>1500</v>
      </c>
      <c r="M141">
        <v>-0.2931879720113382</v>
      </c>
    </row>
    <row r="142" spans="9:13" ht="12.75">
      <c r="I142">
        <f t="shared" si="8"/>
        <v>0.3816191643385466</v>
      </c>
      <c r="J142">
        <v>1700</v>
      </c>
      <c r="K142">
        <v>0.5561082630557677</v>
      </c>
      <c r="L142">
        <f t="shared" si="9"/>
        <v>1700</v>
      </c>
      <c r="M142">
        <v>-0.3081469032403526</v>
      </c>
    </row>
    <row r="143" spans="9:13" ht="12.75">
      <c r="I143">
        <f t="shared" si="8"/>
        <v>0.44656467029620583</v>
      </c>
      <c r="J143">
        <v>1900</v>
      </c>
      <c r="K143">
        <v>0.5803688647745725</v>
      </c>
      <c r="L143">
        <f t="shared" si="9"/>
        <v>1900</v>
      </c>
      <c r="M143">
        <v>-0.3245121776677392</v>
      </c>
    </row>
    <row r="144" spans="9:13" ht="12.75">
      <c r="I144">
        <f t="shared" si="8"/>
        <v>0.517917107412924</v>
      </c>
      <c r="J144">
        <v>2100</v>
      </c>
      <c r="K144">
        <v>0.6070227961441014</v>
      </c>
      <c r="L144">
        <f t="shared" si="9"/>
        <v>2100</v>
      </c>
      <c r="M144">
        <v>-0.3424919007795927</v>
      </c>
    </row>
    <row r="145" spans="9:13" ht="12.75">
      <c r="I145">
        <f t="shared" si="8"/>
        <v>0.5966737402743593</v>
      </c>
      <c r="J145">
        <v>2300</v>
      </c>
      <c r="K145">
        <v>0.6364425885437645</v>
      </c>
      <c r="L145">
        <f t="shared" si="9"/>
        <v>2300</v>
      </c>
      <c r="M145">
        <v>-0.3623373680024456</v>
      </c>
    </row>
    <row r="146" spans="9:13" ht="12.75">
      <c r="I146">
        <f t="shared" si="8"/>
        <v>0.6840501307366332</v>
      </c>
      <c r="J146">
        <v>2500</v>
      </c>
      <c r="K146">
        <v>0.6690823189973851</v>
      </c>
      <c r="L146">
        <f t="shared" si="9"/>
        <v>2500</v>
      </c>
      <c r="M146">
        <v>-0.3843548823370301</v>
      </c>
    </row>
    <row r="147" spans="9:13" ht="12.75">
      <c r="I147">
        <f t="shared" si="8"/>
        <v>0.7815433263614768</v>
      </c>
      <c r="J147">
        <v>2700</v>
      </c>
      <c r="K147">
        <v>0.7055012144154894</v>
      </c>
      <c r="L147">
        <f t="shared" si="9"/>
        <v>2700</v>
      </c>
      <c r="M147">
        <v>-0.4089216768777275</v>
      </c>
    </row>
    <row r="148" spans="9:13" ht="12.75">
      <c r="I148">
        <f t="shared" si="8"/>
        <v>0.8910183462534392</v>
      </c>
      <c r="J148">
        <v>2900</v>
      </c>
      <c r="K148">
        <v>0.7463959586567408</v>
      </c>
      <c r="L148">
        <f t="shared" si="9"/>
        <v>2900</v>
      </c>
      <c r="M148">
        <v>-0.4365077079211009</v>
      </c>
    </row>
    <row r="149" spans="9:13" ht="12.75">
      <c r="I149">
        <f t="shared" si="8"/>
        <v>1.0148286417247239</v>
      </c>
      <c r="J149">
        <v>3100</v>
      </c>
      <c r="K149">
        <v>0.7926456909950282</v>
      </c>
      <c r="L149">
        <f t="shared" si="9"/>
        <v>3100</v>
      </c>
      <c r="M149">
        <v>-0.4677060092114836</v>
      </c>
    </row>
    <row r="150" spans="9:13" ht="12.75">
      <c r="I150">
        <f t="shared" si="8"/>
        <v>1.155987193682167</v>
      </c>
      <c r="J150">
        <v>3300</v>
      </c>
      <c r="K150">
        <v>0.8453759200962596</v>
      </c>
      <c r="L150">
        <f t="shared" si="9"/>
        <v>3300</v>
      </c>
      <c r="M150">
        <v>-0.5032758058662687</v>
      </c>
    </row>
    <row r="151" spans="9:13" ht="12.75">
      <c r="I151">
        <f t="shared" si="8"/>
        <v>1.3184149508209744</v>
      </c>
      <c r="J151">
        <v>3500</v>
      </c>
      <c r="K151">
        <v>0.90605132890118</v>
      </c>
      <c r="L151">
        <f t="shared" si="9"/>
        <v>3500</v>
      </c>
      <c r="M151">
        <v>-0.5442051170018918</v>
      </c>
    </row>
    <row r="152" spans="9:13" ht="12.75">
      <c r="I152">
        <f t="shared" si="8"/>
        <v>1.5073107187002974</v>
      </c>
      <c r="J152">
        <v>3700</v>
      </c>
      <c r="K152">
        <v>0.9766139478740117</v>
      </c>
      <c r="L152">
        <f t="shared" si="9"/>
        <v>3700</v>
      </c>
      <c r="M152">
        <v>-0.5918039621249465</v>
      </c>
    </row>
    <row r="153" spans="9:13" ht="12.75">
      <c r="I153">
        <f t="shared" si="8"/>
        <v>1.729717911513985</v>
      </c>
      <c r="J153">
        <v>3900</v>
      </c>
      <c r="K153">
        <v>1.0596948669412682</v>
      </c>
      <c r="L153">
        <f t="shared" si="9"/>
        <v>3900</v>
      </c>
      <c r="M153">
        <v>-0.647847173912281</v>
      </c>
    </row>
  </sheetData>
  <mergeCells count="78">
    <mergeCell ref="C128:D128"/>
    <mergeCell ref="C129:D129"/>
    <mergeCell ref="C130:D130"/>
    <mergeCell ref="C131:D131"/>
    <mergeCell ref="C119:D119"/>
    <mergeCell ref="C120:D120"/>
    <mergeCell ref="C126:D126"/>
    <mergeCell ref="C127:D127"/>
    <mergeCell ref="I102:I103"/>
    <mergeCell ref="J102:J103"/>
    <mergeCell ref="K102:K103"/>
    <mergeCell ref="C109:D109"/>
    <mergeCell ref="E109:F109"/>
    <mergeCell ref="H109:J109"/>
    <mergeCell ref="F83:F84"/>
    <mergeCell ref="A96:J96"/>
    <mergeCell ref="A102:A103"/>
    <mergeCell ref="B102:B103"/>
    <mergeCell ref="C102:C103"/>
    <mergeCell ref="D102:D103"/>
    <mergeCell ref="E102:E103"/>
    <mergeCell ref="F102:F103"/>
    <mergeCell ref="G102:G103"/>
    <mergeCell ref="H102:H103"/>
    <mergeCell ref="B83:B84"/>
    <mergeCell ref="C83:C84"/>
    <mergeCell ref="D83:D84"/>
    <mergeCell ref="E83:E84"/>
    <mergeCell ref="C80:D80"/>
    <mergeCell ref="F75:G75"/>
    <mergeCell ref="F76:G76"/>
    <mergeCell ref="B82:F82"/>
    <mergeCell ref="C73:D73"/>
    <mergeCell ref="F72:G72"/>
    <mergeCell ref="F73:G73"/>
    <mergeCell ref="C79:D79"/>
    <mergeCell ref="I27:J27"/>
    <mergeCell ref="C17:D17"/>
    <mergeCell ref="C27:D27"/>
    <mergeCell ref="F27:G27"/>
    <mergeCell ref="F30:G30"/>
    <mergeCell ref="I55:I56"/>
    <mergeCell ref="J55:J56"/>
    <mergeCell ref="C72:D72"/>
    <mergeCell ref="C34:D34"/>
    <mergeCell ref="C33:D33"/>
    <mergeCell ref="D37:D38"/>
    <mergeCell ref="H55:H56"/>
    <mergeCell ref="C62:D62"/>
    <mergeCell ref="F62:G62"/>
    <mergeCell ref="I110:J110"/>
    <mergeCell ref="A3:J3"/>
    <mergeCell ref="F17:G17"/>
    <mergeCell ref="C26:D26"/>
    <mergeCell ref="F26:G26"/>
    <mergeCell ref="B8:B9"/>
    <mergeCell ref="F8:F9"/>
    <mergeCell ref="H8:H9"/>
    <mergeCell ref="I8:I9"/>
    <mergeCell ref="F29:G29"/>
    <mergeCell ref="A8:A9"/>
    <mergeCell ref="C8:C9"/>
    <mergeCell ref="D8:D9"/>
    <mergeCell ref="E8:E9"/>
    <mergeCell ref="G8:G9"/>
    <mergeCell ref="B36:F36"/>
    <mergeCell ref="A50:J50"/>
    <mergeCell ref="A55:A56"/>
    <mergeCell ref="B55:B56"/>
    <mergeCell ref="C55:C56"/>
    <mergeCell ref="D55:D56"/>
    <mergeCell ref="E55:E56"/>
    <mergeCell ref="F55:F56"/>
    <mergeCell ref="G55:G56"/>
    <mergeCell ref="B37:B38"/>
    <mergeCell ref="E37:E38"/>
    <mergeCell ref="F37:F38"/>
    <mergeCell ref="C37:C38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Lehrstuhl für Finanz- und Bankmanagement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Investitionen unter Unsicherheit</dc:creator>
  <cp:keywords/>
  <dc:description/>
  <cp:lastModifiedBy>Boris Nöll</cp:lastModifiedBy>
  <cp:lastPrinted>2008-06-09T06:48:50Z</cp:lastPrinted>
  <dcterms:created xsi:type="dcterms:W3CDTF">2008-05-18T09:59:52Z</dcterms:created>
  <dcterms:modified xsi:type="dcterms:W3CDTF">2008-10-21T09:39:55Z</dcterms:modified>
  <cp:category/>
  <cp:version/>
  <cp:contentType/>
  <cp:contentStatus/>
</cp:coreProperties>
</file>